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3. VENDIENDO A G CONTR AUTORETENEDOR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  <externalReference r:id="rId11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Diario'!$A$5:$M$295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J283" i="1" l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N6" i="2" l="1"/>
  <c r="K6" i="2"/>
  <c r="H6" i="2"/>
  <c r="I6" i="2" s="1"/>
  <c r="G6" i="2"/>
  <c r="F6" i="2"/>
  <c r="E6" i="2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 s="1"/>
  <c r="G284" i="1"/>
  <c r="K291" i="1" l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 l="1"/>
  <c r="E264" i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K10" i="16" l="1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K9" i="16" l="1"/>
  <c r="P9" i="16" s="1"/>
  <c r="P10" i="16" s="1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D8" i="16"/>
  <c r="M13" i="15"/>
  <c r="L13" i="15"/>
  <c r="K13" i="15"/>
  <c r="G13" i="15"/>
  <c r="F13" i="15"/>
  <c r="K8" i="16" l="1"/>
  <c r="K143" i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O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P7" i="16" l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E3" i="2"/>
  <c r="D3" i="2"/>
  <c r="L98" i="1"/>
  <c r="G97" i="1"/>
  <c r="G98" i="1"/>
  <c r="M10" i="15"/>
  <c r="K10" i="15"/>
  <c r="J10" i="15"/>
  <c r="I3" i="2" l="1"/>
  <c r="N3" i="2" s="1"/>
  <c r="N5" i="2" s="1"/>
  <c r="K104" i="1"/>
  <c r="G92" i="1"/>
  <c r="G93" i="1"/>
  <c r="G94" i="1"/>
  <c r="G95" i="1"/>
  <c r="G96" i="1"/>
  <c r="L91" i="1"/>
  <c r="L93" i="1" s="1"/>
  <c r="K94" i="1" s="1"/>
  <c r="N323" i="2" l="1"/>
  <c r="N324" i="2" s="1"/>
  <c r="L92" i="1"/>
  <c r="K95" i="1"/>
  <c r="N6" i="16"/>
  <c r="M6" i="16"/>
  <c r="J6" i="16"/>
  <c r="H6" i="16"/>
  <c r="G6" i="16"/>
  <c r="I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6" i="16" l="1"/>
  <c r="O6" i="16" s="1"/>
  <c r="P6" i="16" s="1"/>
  <c r="K96" i="1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5" i="16" l="1"/>
  <c r="K78" i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4" i="16" s="1"/>
  <c r="P8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G295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<sst xmlns="http://schemas.openxmlformats.org/spreadsheetml/2006/main" count="4270" uniqueCount="1805">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</sst>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42.%20RETEFUENTE/42b.%20contabilizacion%20del%20pago/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8" totalsRowShown="0" headerRowDxfId="10" dataDxfId="9">
  <autoFilter ref="A1:D38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57"/>
  <sheetViews>
    <sheetView showGridLines="0" tabSelected="1" zoomScale="115" zoomScaleNormal="115" workbookViewId="0">
      <pane ySplit="5" topLeftCell="A6" activePane="bottomLeft" state="frozen"/>
      <selection pane="bottomLeft" activeCell="M293" sqref="A284:M293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7">
        <f>SUM(K:K)-SUM(L:L)</f>
        <v>0.21450001001358032</v>
      </c>
      <c r="J1" s="188"/>
      <c r="K1" s="19"/>
      <c r="L1" s="19"/>
      <c r="M1" s="19"/>
    </row>
    <row r="2" spans="1:13" ht="15.75" thickBot="1" x14ac:dyDescent="0.3">
      <c r="D2" s="124" t="s">
        <v>1380</v>
      </c>
      <c r="I2" s="189" t="s">
        <v>1385</v>
      </c>
      <c r="J2" s="190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295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hidden="1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8" customFormat="1" hidden="1" outlineLevel="1" x14ac:dyDescent="0.25">
      <c r="A270" s="146" t="s">
        <v>1573</v>
      </c>
      <c r="B270" s="147" t="s">
        <v>1792</v>
      </c>
      <c r="C270" s="148">
        <v>41673</v>
      </c>
      <c r="D270" s="146">
        <v>77512</v>
      </c>
      <c r="E270" s="148">
        <v>41648</v>
      </c>
      <c r="F270" s="149">
        <v>860563589</v>
      </c>
      <c r="G270" s="146" t="str">
        <f>IFERROR(VLOOKUP(F270,TERCEROS[],3,FALSE),"")</f>
        <v>DIGITAL KOMPRE S.A.</v>
      </c>
      <c r="H270" s="146" t="s">
        <v>1793</v>
      </c>
      <c r="I270" s="146">
        <v>233595</v>
      </c>
      <c r="J270" s="146" t="str">
        <f t="shared" si="34"/>
        <v xml:space="preserve">OTROS </v>
      </c>
      <c r="K270" s="150">
        <v>1705200</v>
      </c>
      <c r="L270" s="150"/>
      <c r="M270" s="150"/>
    </row>
    <row r="271" spans="1:13" s="158" customFormat="1" hidden="1" outlineLevel="1" x14ac:dyDescent="0.25">
      <c r="A271" s="146" t="s">
        <v>1573</v>
      </c>
      <c r="B271" s="147" t="s">
        <v>1792</v>
      </c>
      <c r="C271" s="148">
        <v>41673</v>
      </c>
      <c r="D271" s="146">
        <v>77512</v>
      </c>
      <c r="E271" s="148">
        <v>41648</v>
      </c>
      <c r="F271" s="149">
        <v>860563589</v>
      </c>
      <c r="G271" s="146" t="str">
        <f>IFERROR(VLOOKUP(F271,TERCEROS[],3,FALSE),"")</f>
        <v>DIGITAL KOMPRE S.A.</v>
      </c>
      <c r="H271" s="146" t="s">
        <v>1793</v>
      </c>
      <c r="I271" s="146">
        <v>1110050501</v>
      </c>
      <c r="J271" s="146" t="str">
        <f t="shared" si="34"/>
        <v>CUENTA CORRIENTE NO. 074-604125-08</v>
      </c>
      <c r="K271" s="150"/>
      <c r="L271" s="150">
        <f>+K270</f>
        <v>1705200</v>
      </c>
      <c r="M271" s="150" t="s">
        <v>1794</v>
      </c>
    </row>
    <row r="272" spans="1:13" s="158" customFormat="1" hidden="1" outlineLevel="1" x14ac:dyDescent="0.25">
      <c r="A272" s="146" t="s">
        <v>1573</v>
      </c>
      <c r="B272" s="147" t="s">
        <v>1795</v>
      </c>
      <c r="C272" s="148">
        <v>41673</v>
      </c>
      <c r="D272" s="146" t="s">
        <v>1664</v>
      </c>
      <c r="E272" s="148">
        <v>41656</v>
      </c>
      <c r="F272" s="149">
        <v>800652351</v>
      </c>
      <c r="G272" s="146" t="str">
        <f>IFERROR(VLOOKUP(F272,TERCEROS[],3,FALSE),"")</f>
        <v>SURTIDOR KP LTDA</v>
      </c>
      <c r="H272" s="146" t="s">
        <v>1667</v>
      </c>
      <c r="I272" s="146">
        <v>220501</v>
      </c>
      <c r="J272" s="146" t="str">
        <f t="shared" si="34"/>
        <v>PROVEEDORES NACIONALES</v>
      </c>
      <c r="K272" s="150">
        <v>800400</v>
      </c>
      <c r="L272" s="150"/>
      <c r="M272" s="150"/>
    </row>
    <row r="273" spans="1:13" s="158" customFormat="1" hidden="1" outlineLevel="1" x14ac:dyDescent="0.25">
      <c r="A273" s="146" t="s">
        <v>1573</v>
      </c>
      <c r="B273" s="147" t="s">
        <v>1795</v>
      </c>
      <c r="C273" s="148">
        <v>41673</v>
      </c>
      <c r="D273" s="146" t="s">
        <v>1664</v>
      </c>
      <c r="E273" s="148">
        <v>41656</v>
      </c>
      <c r="F273" s="149">
        <v>800652351</v>
      </c>
      <c r="G273" s="146" t="str">
        <f>IFERROR(VLOOKUP(F273,TERCEROS[],3,FALSE),"")</f>
        <v>SURTIDOR KP LTDA</v>
      </c>
      <c r="H273" s="146" t="s">
        <v>1667</v>
      </c>
      <c r="I273" s="146">
        <v>421040</v>
      </c>
      <c r="J273" s="146" t="str">
        <f t="shared" si="34"/>
        <v xml:space="preserve">DESCUENTOS COMERCIALES CONDICIONADOS </v>
      </c>
      <c r="K273" s="150"/>
      <c r="L273" s="150">
        <f>+K272*0.08</f>
        <v>64032</v>
      </c>
      <c r="M273" s="150"/>
    </row>
    <row r="274" spans="1:13" s="158" customFormat="1" hidden="1" outlineLevel="1" x14ac:dyDescent="0.25">
      <c r="A274" s="146" t="s">
        <v>1573</v>
      </c>
      <c r="B274" s="147" t="s">
        <v>1795</v>
      </c>
      <c r="C274" s="148">
        <v>41673</v>
      </c>
      <c r="D274" s="146" t="s">
        <v>1664</v>
      </c>
      <c r="E274" s="148">
        <v>41656</v>
      </c>
      <c r="F274" s="149">
        <v>800652351</v>
      </c>
      <c r="G274" s="146" t="str">
        <f>IFERROR(VLOOKUP(F274,TERCEROS[],3,FALSE),"")</f>
        <v>SURTIDOR KP LTDA</v>
      </c>
      <c r="H274" s="146" t="s">
        <v>1667</v>
      </c>
      <c r="I274" s="146">
        <v>1110050501</v>
      </c>
      <c r="J274" s="146" t="str">
        <f t="shared" si="34"/>
        <v>CUENTA CORRIENTE NO. 074-604125-08</v>
      </c>
      <c r="K274" s="150"/>
      <c r="L274" s="150">
        <f>+K272-L273</f>
        <v>736368</v>
      </c>
      <c r="M274" s="150" t="s">
        <v>1796</v>
      </c>
    </row>
    <row r="275" spans="1:13" hidden="1" outlineLevel="1" x14ac:dyDescent="0.25">
      <c r="A275" s="22" t="s">
        <v>1573</v>
      </c>
      <c r="B275" s="29" t="s">
        <v>1802</v>
      </c>
      <c r="C275" s="145">
        <v>41681</v>
      </c>
      <c r="D275" s="22" t="s">
        <v>1803</v>
      </c>
      <c r="E275" s="145">
        <f>+C275</f>
        <v>41681</v>
      </c>
      <c r="F275" s="27">
        <v>999999999</v>
      </c>
      <c r="G275" s="22" t="str">
        <f>IFERROR(VLOOKUP(F275,[1]!TERCEROS[#Data],3,FALSE),"")</f>
        <v/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hidden="1" outlineLevel="1" x14ac:dyDescent="0.25">
      <c r="A276" s="22" t="s">
        <v>1573</v>
      </c>
      <c r="B276" s="29" t="s">
        <v>1802</v>
      </c>
      <c r="C276" s="145">
        <v>41681</v>
      </c>
      <c r="D276" s="22" t="s">
        <v>1803</v>
      </c>
      <c r="E276" s="145">
        <f t="shared" ref="E276:E283" si="37">+C276</f>
        <v>41681</v>
      </c>
      <c r="F276" s="27">
        <v>999999999</v>
      </c>
      <c r="G276" s="22" t="str">
        <f>IFERROR(VLOOKUP(F276,[1]!TERCEROS[#Data],3,FALSE),"")</f>
        <v/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hidden="1" outlineLevel="1" x14ac:dyDescent="0.25">
      <c r="A277" s="22" t="s">
        <v>1573</v>
      </c>
      <c r="B277" s="29" t="s">
        <v>1802</v>
      </c>
      <c r="C277" s="145">
        <v>41681</v>
      </c>
      <c r="D277" s="22" t="s">
        <v>1803</v>
      </c>
      <c r="E277" s="145">
        <f t="shared" si="37"/>
        <v>41681</v>
      </c>
      <c r="F277" s="27">
        <v>999999999</v>
      </c>
      <c r="G277" s="22" t="str">
        <f>IFERROR(VLOOKUP(F277,[1]!TERCEROS[#Data],3,FALSE),"")</f>
        <v/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hidden="1" outlineLevel="1" x14ac:dyDescent="0.25">
      <c r="A278" s="22" t="s">
        <v>1573</v>
      </c>
      <c r="B278" s="29" t="s">
        <v>1802</v>
      </c>
      <c r="C278" s="145">
        <v>41681</v>
      </c>
      <c r="D278" s="22" t="s">
        <v>1803</v>
      </c>
      <c r="E278" s="145">
        <f t="shared" si="37"/>
        <v>41681</v>
      </c>
      <c r="F278" s="27">
        <v>999999999</v>
      </c>
      <c r="G278" s="22" t="str">
        <f>IFERROR(VLOOKUP(F278,[1]!TERCEROS[#Data],3,FALSE),"")</f>
        <v/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hidden="1" outlineLevel="1" x14ac:dyDescent="0.25">
      <c r="A279" s="22" t="s">
        <v>1573</v>
      </c>
      <c r="B279" s="29" t="s">
        <v>1802</v>
      </c>
      <c r="C279" s="145">
        <v>41681</v>
      </c>
      <c r="D279" s="22" t="s">
        <v>1803</v>
      </c>
      <c r="E279" s="145">
        <f t="shared" si="37"/>
        <v>41681</v>
      </c>
      <c r="F279" s="27">
        <v>999999999</v>
      </c>
      <c r="G279" s="22" t="str">
        <f>IFERROR(VLOOKUP(F279,[1]!TERCEROS[#Data],3,FALSE),"")</f>
        <v/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hidden="1" outlineLevel="1" x14ac:dyDescent="0.25">
      <c r="A280" s="22" t="s">
        <v>1573</v>
      </c>
      <c r="B280" s="29" t="s">
        <v>1802</v>
      </c>
      <c r="C280" s="145">
        <v>41681</v>
      </c>
      <c r="D280" s="22" t="s">
        <v>1803</v>
      </c>
      <c r="E280" s="145">
        <f t="shared" si="37"/>
        <v>41681</v>
      </c>
      <c r="F280" s="27">
        <v>999999999</v>
      </c>
      <c r="G280" s="22" t="str">
        <f>IFERROR(VLOOKUP(F280,[1]!TERCEROS[#Data],3,FALSE),"")</f>
        <v/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hidden="1" outlineLevel="1" x14ac:dyDescent="0.25">
      <c r="A281" s="22" t="s">
        <v>1573</v>
      </c>
      <c r="B281" s="29" t="s">
        <v>1802</v>
      </c>
      <c r="C281" s="145">
        <v>41681</v>
      </c>
      <c r="D281" s="22" t="s">
        <v>1803</v>
      </c>
      <c r="E281" s="145">
        <f t="shared" si="37"/>
        <v>41681</v>
      </c>
      <c r="F281" s="27">
        <v>999999999</v>
      </c>
      <c r="G281" s="22" t="str">
        <f>IFERROR(VLOOKUP(F281,[1]!TERCEROS[#Data],3,FALSE),"")</f>
        <v/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hidden="1" outlineLevel="1" x14ac:dyDescent="0.25">
      <c r="A282" s="22" t="s">
        <v>1573</v>
      </c>
      <c r="B282" s="29" t="s">
        <v>1802</v>
      </c>
      <c r="C282" s="145">
        <v>41681</v>
      </c>
      <c r="D282" s="22" t="s">
        <v>1803</v>
      </c>
      <c r="E282" s="145">
        <f t="shared" si="37"/>
        <v>41681</v>
      </c>
      <c r="F282" s="27">
        <v>999999999</v>
      </c>
      <c r="G282" s="22" t="str">
        <f>IFERROR(VLOOKUP(F282,[1]!TERCEROS[#Data],3,FALSE),"")</f>
        <v/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hidden="1" outlineLevel="1" x14ac:dyDescent="0.25">
      <c r="A283" s="22" t="s">
        <v>1573</v>
      </c>
      <c r="B283" s="29" t="s">
        <v>1802</v>
      </c>
      <c r="C283" s="145">
        <v>41681</v>
      </c>
      <c r="D283" s="22" t="s">
        <v>1803</v>
      </c>
      <c r="E283" s="145">
        <f t="shared" si="37"/>
        <v>41681</v>
      </c>
      <c r="F283" s="27">
        <v>999999999</v>
      </c>
      <c r="G283" s="22" t="str">
        <f>IFERROR(VLOOKUP(F283,[1]!TERCEROS[#Data],3,FALSE),"")</f>
        <v/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collapsed="1" x14ac:dyDescent="0.25">
      <c r="A284" s="146" t="s">
        <v>1627</v>
      </c>
      <c r="B284" s="147" t="s">
        <v>1600</v>
      </c>
      <c r="C284" s="148">
        <v>41683</v>
      </c>
      <c r="D284" s="146"/>
      <c r="E284" s="146"/>
      <c r="F284" s="179">
        <v>800212212</v>
      </c>
      <c r="G284" s="146" t="str">
        <f>IFERROR(VLOOKUP(F284,TERCEROS[],3,FALSE),"")</f>
        <v>LOS PANTALONEROS LTDA</v>
      </c>
      <c r="H284" s="146" t="s">
        <v>1800</v>
      </c>
      <c r="I284" s="146">
        <v>41352402</v>
      </c>
      <c r="J284" s="146" t="str">
        <f t="shared" si="34"/>
        <v>VENTA DE BLUSAS</v>
      </c>
      <c r="K284" s="150"/>
      <c r="L284" s="150">
        <f>130*12100</f>
        <v>1573000</v>
      </c>
      <c r="M284" s="150"/>
    </row>
    <row r="285" spans="1:13" x14ac:dyDescent="0.25">
      <c r="A285" s="146" t="s">
        <v>1627</v>
      </c>
      <c r="B285" s="147" t="s">
        <v>1600</v>
      </c>
      <c r="C285" s="148">
        <v>41683</v>
      </c>
      <c r="D285" s="146"/>
      <c r="E285" s="146"/>
      <c r="F285" s="179">
        <v>800212212</v>
      </c>
      <c r="G285" s="146" t="str">
        <f>IFERROR(VLOOKUP(F285,TERCEROS[],3,FALSE),"")</f>
        <v>LOS PANTALONEROS LTDA</v>
      </c>
      <c r="H285" s="146" t="s">
        <v>1800</v>
      </c>
      <c r="I285" s="146">
        <v>240801</v>
      </c>
      <c r="J285" s="146" t="str">
        <f t="shared" si="34"/>
        <v>IVA GENERADO</v>
      </c>
      <c r="K285" s="150"/>
      <c r="L285" s="150">
        <f>+L284*0.16</f>
        <v>251680</v>
      </c>
      <c r="M285" s="150"/>
    </row>
    <row r="286" spans="1:13" x14ac:dyDescent="0.25">
      <c r="A286" s="146" t="s">
        <v>1627</v>
      </c>
      <c r="B286" s="147" t="s">
        <v>1600</v>
      </c>
      <c r="C286" s="148">
        <v>41683</v>
      </c>
      <c r="D286" s="146"/>
      <c r="E286" s="146"/>
      <c r="F286" s="179">
        <v>800212212</v>
      </c>
      <c r="G286" s="146" t="str">
        <f>IFERROR(VLOOKUP(F286,TERCEROS[],3,FALSE),"")</f>
        <v>LOS PANTALONEROS LTDA</v>
      </c>
      <c r="H286" s="146" t="s">
        <v>1800</v>
      </c>
      <c r="I286" s="146">
        <v>23657501</v>
      </c>
      <c r="J286" s="146" t="str">
        <f t="shared" si="34"/>
        <v>AUTORETENC POR CREE 0,4%</v>
      </c>
      <c r="K286" s="150"/>
      <c r="L286" s="150">
        <f>+L284*0.4/100</f>
        <v>6292</v>
      </c>
      <c r="M286" s="150"/>
    </row>
    <row r="287" spans="1:13" x14ac:dyDescent="0.25">
      <c r="A287" s="146" t="s">
        <v>1627</v>
      </c>
      <c r="B287" s="147" t="s">
        <v>1600</v>
      </c>
      <c r="C287" s="148">
        <v>41683</v>
      </c>
      <c r="D287" s="146"/>
      <c r="E287" s="146"/>
      <c r="F287" s="179">
        <v>800212212</v>
      </c>
      <c r="G287" s="146" t="str">
        <f>IFERROR(VLOOKUP(F287,TERCEROS[],3,FALSE),"")</f>
        <v>LOS PANTALONEROS LTDA</v>
      </c>
      <c r="H287" s="146" t="s">
        <v>1800</v>
      </c>
      <c r="I287" s="146">
        <v>13559501</v>
      </c>
      <c r="J287" s="146" t="str">
        <f t="shared" si="34"/>
        <v>ANT AUTORETENC POR CREE 0,4%</v>
      </c>
      <c r="K287" s="150">
        <f>+L286</f>
        <v>6292</v>
      </c>
      <c r="L287" s="150"/>
      <c r="M287" s="150"/>
    </row>
    <row r="288" spans="1:13" x14ac:dyDescent="0.25">
      <c r="A288" s="146" t="s">
        <v>1627</v>
      </c>
      <c r="B288" s="147" t="s">
        <v>1600</v>
      </c>
      <c r="C288" s="148">
        <v>41683</v>
      </c>
      <c r="D288" s="146"/>
      <c r="E288" s="146"/>
      <c r="F288" s="179">
        <v>800212212</v>
      </c>
      <c r="G288" s="146" t="str">
        <f>IFERROR(VLOOKUP(F288,TERCEROS[],3,FALSE),"")</f>
        <v>LOS PANTALONEROS LTDA</v>
      </c>
      <c r="H288" s="146" t="s">
        <v>1800</v>
      </c>
      <c r="I288" s="146">
        <v>135515</v>
      </c>
      <c r="J288" s="146" t="str">
        <f t="shared" si="34"/>
        <v xml:space="preserve">RETENCION EN LA FUENTE </v>
      </c>
      <c r="K288" s="150">
        <f>+L284*2.5/100</f>
        <v>39325</v>
      </c>
      <c r="L288" s="150"/>
      <c r="M288" s="150"/>
    </row>
    <row r="289" spans="1:13" x14ac:dyDescent="0.25">
      <c r="A289" s="146" t="s">
        <v>1627</v>
      </c>
      <c r="B289" s="147" t="s">
        <v>1600</v>
      </c>
      <c r="C289" s="148">
        <v>41683</v>
      </c>
      <c r="D289" s="146"/>
      <c r="E289" s="146"/>
      <c r="F289" s="179">
        <v>800212212</v>
      </c>
      <c r="G289" s="146" t="str">
        <f>IFERROR(VLOOKUP(F289,TERCEROS[],3,FALSE),"")</f>
        <v>LOS PANTALONEROS LTDA</v>
      </c>
      <c r="H289" s="146" t="s">
        <v>1800</v>
      </c>
      <c r="I289" s="146">
        <v>135517</v>
      </c>
      <c r="J289" s="146" t="str">
        <f t="shared" si="34"/>
        <v>IMPUESTO A LAS VENTAS RETENIDO</v>
      </c>
      <c r="K289" s="150">
        <f>+L285*0.15</f>
        <v>37752</v>
      </c>
      <c r="L289" s="150"/>
      <c r="M289" s="150"/>
    </row>
    <row r="290" spans="1:13" x14ac:dyDescent="0.25">
      <c r="A290" s="146" t="s">
        <v>1627</v>
      </c>
      <c r="B290" s="147" t="s">
        <v>1600</v>
      </c>
      <c r="C290" s="148">
        <v>41683</v>
      </c>
      <c r="D290" s="146"/>
      <c r="E290" s="146"/>
      <c r="F290" s="179">
        <v>800212212</v>
      </c>
      <c r="G290" s="146" t="str">
        <f>IFERROR(VLOOKUP(F290,TERCEROS[],3,FALSE),"")</f>
        <v>LOS PANTALONEROS LTDA</v>
      </c>
      <c r="H290" s="146" t="s">
        <v>1800</v>
      </c>
      <c r="I290" s="146">
        <v>135518</v>
      </c>
      <c r="J290" s="146" t="str">
        <f t="shared" si="34"/>
        <v>IMPUESTO DE INDUSTRIA Y COMERCIO RETENIDO</v>
      </c>
      <c r="K290" s="150">
        <f>+L284*11.04/1000</f>
        <v>17365.919999999998</v>
      </c>
      <c r="L290" s="150"/>
      <c r="M290" s="150"/>
    </row>
    <row r="291" spans="1:13" x14ac:dyDescent="0.25">
      <c r="A291" s="146" t="s">
        <v>1627</v>
      </c>
      <c r="B291" s="147" t="s">
        <v>1600</v>
      </c>
      <c r="C291" s="148">
        <v>41683</v>
      </c>
      <c r="D291" s="146"/>
      <c r="E291" s="146"/>
      <c r="F291" s="179">
        <v>800212212</v>
      </c>
      <c r="G291" s="146" t="str">
        <f>IFERROR(VLOOKUP(F291,TERCEROS[],3,FALSE),"")</f>
        <v>LOS PANTALONEROS LTDA</v>
      </c>
      <c r="H291" s="146" t="s">
        <v>1800</v>
      </c>
      <c r="I291" s="146">
        <v>130505</v>
      </c>
      <c r="J291" s="146" t="str">
        <f t="shared" si="34"/>
        <v xml:space="preserve">NACIONALES </v>
      </c>
      <c r="K291" s="150">
        <f>+L284+L285+L286-K287-K288-K289-K290</f>
        <v>1730237.08</v>
      </c>
      <c r="L291" s="150"/>
      <c r="M291" s="150"/>
    </row>
    <row r="292" spans="1:13" x14ac:dyDescent="0.25">
      <c r="A292" s="146" t="s">
        <v>1627</v>
      </c>
      <c r="B292" s="147" t="s">
        <v>1600</v>
      </c>
      <c r="C292" s="148">
        <v>41683</v>
      </c>
      <c r="D292" s="146"/>
      <c r="E292" s="146"/>
      <c r="F292" s="179">
        <v>800212212</v>
      </c>
      <c r="G292" s="146" t="str">
        <f>IFERROR(VLOOKUP(F292,TERCEROS[],3,FALSE),"")</f>
        <v>LOS PANTALONEROS LTDA</v>
      </c>
      <c r="H292" s="146" t="s">
        <v>1800</v>
      </c>
      <c r="I292" s="146">
        <v>14352402</v>
      </c>
      <c r="J292" s="146" t="str">
        <f t="shared" si="34"/>
        <v>DE BLUSAS</v>
      </c>
      <c r="K292" s="150"/>
      <c r="L292" s="150">
        <v>728000</v>
      </c>
      <c r="M292" s="150"/>
    </row>
    <row r="293" spans="1:13" x14ac:dyDescent="0.25">
      <c r="A293" s="146" t="s">
        <v>1627</v>
      </c>
      <c r="B293" s="147" t="s">
        <v>1600</v>
      </c>
      <c r="C293" s="148">
        <v>41683</v>
      </c>
      <c r="D293" s="146"/>
      <c r="E293" s="146"/>
      <c r="F293" s="179">
        <v>800212212</v>
      </c>
      <c r="G293" s="146" t="str">
        <f>IFERROR(VLOOKUP(F293,TERCEROS[],3,FALSE),"")</f>
        <v>LOS PANTALONEROS LTDA</v>
      </c>
      <c r="H293" s="146" t="s">
        <v>1800</v>
      </c>
      <c r="I293" s="146">
        <v>61352402</v>
      </c>
      <c r="J293" s="146" t="str">
        <f t="shared" si="34"/>
        <v>VENTA DE BLUSAS</v>
      </c>
      <c r="K293" s="150">
        <f>+L292</f>
        <v>728000</v>
      </c>
      <c r="L293" s="150"/>
      <c r="M293" s="150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34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34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295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94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8"/>
  <sheetViews>
    <sheetView topLeftCell="A25" workbookViewId="0">
      <selection activeCell="D38" sqref="D38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</sheetData>
  <dataValidations count="1">
    <dataValidation type="list" allowBlank="1" showInputMessage="1" showErrorMessage="1" sqref="D2:D38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210" workbookViewId="0">
      <selection activeCell="A223" sqref="A223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1" t="s">
        <v>10</v>
      </c>
      <c r="B1" s="192"/>
      <c r="C1" s="193"/>
    </row>
    <row r="2" spans="1:3" x14ac:dyDescent="0.25">
      <c r="A2" s="194"/>
      <c r="B2" s="195"/>
      <c r="C2" s="196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1727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1740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1694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1614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1615</v>
      </c>
      <c r="C309" s="6" t="str">
        <f t="shared" si="4"/>
        <v/>
      </c>
    </row>
    <row r="310" spans="1:3" x14ac:dyDescent="0.25">
      <c r="A310" s="13">
        <v>14352402</v>
      </c>
      <c r="B310" s="5" t="s">
        <v>1616</v>
      </c>
      <c r="C310" s="6" t="str">
        <f t="shared" si="4"/>
        <v/>
      </c>
    </row>
    <row r="311" spans="1:3" x14ac:dyDescent="0.25">
      <c r="A311" s="13">
        <v>14352403</v>
      </c>
      <c r="B311" s="5" t="s">
        <v>1617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1603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1720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1674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1593</v>
      </c>
      <c r="C845" s="6" t="str">
        <f t="shared" si="12"/>
        <v/>
      </c>
    </row>
    <row r="846" spans="1:3" x14ac:dyDescent="0.25">
      <c r="A846" s="13">
        <v>23652502</v>
      </c>
      <c r="B846" s="5" t="s">
        <v>1599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1613</v>
      </c>
      <c r="C850" s="6" t="str">
        <f t="shared" si="12"/>
        <v/>
      </c>
    </row>
    <row r="851" spans="1:3" x14ac:dyDescent="0.25">
      <c r="A851" s="13">
        <v>23654002</v>
      </c>
      <c r="B851" s="5" t="s">
        <v>1637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1725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1626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1766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1703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1756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1732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1551</v>
      </c>
      <c r="C1113" s="6"/>
    </row>
    <row r="1114" spans="1:3" x14ac:dyDescent="0.25">
      <c r="A1114" s="17">
        <v>31051502</v>
      </c>
      <c r="B1114" s="5" t="s">
        <v>1550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1541</v>
      </c>
      <c r="C1393" s="6" t="str">
        <f t="shared" si="22"/>
        <v/>
      </c>
    </row>
    <row r="1394" spans="1:3" x14ac:dyDescent="0.25">
      <c r="A1394" s="13">
        <v>41352402</v>
      </c>
      <c r="B1394" s="5" t="s">
        <v>1542</v>
      </c>
      <c r="C1394" s="6" t="str">
        <f t="shared" si="22"/>
        <v/>
      </c>
    </row>
    <row r="1395" spans="1:3" x14ac:dyDescent="0.25">
      <c r="A1395" s="13">
        <v>41352403</v>
      </c>
      <c r="B1395" s="5" t="s">
        <v>1543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1544</v>
      </c>
      <c r="C1517" s="6" t="str">
        <f t="shared" si="23"/>
        <v/>
      </c>
    </row>
    <row r="1518" spans="1:3" x14ac:dyDescent="0.25">
      <c r="A1518" s="13">
        <v>41752402</v>
      </c>
      <c r="B1518" s="5" t="s">
        <v>1545</v>
      </c>
      <c r="C1518" s="6"/>
    </row>
    <row r="1519" spans="1:3" x14ac:dyDescent="0.25">
      <c r="A1519" s="13">
        <v>41752403</v>
      </c>
      <c r="B1519" s="5" t="s">
        <v>1546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1747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1766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1765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1723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1541</v>
      </c>
      <c r="C2348" s="6" t="str">
        <f t="shared" si="36"/>
        <v/>
      </c>
    </row>
    <row r="2349" spans="1:3" x14ac:dyDescent="0.25">
      <c r="A2349" s="13">
        <v>61352402</v>
      </c>
      <c r="B2349" s="5" t="s">
        <v>1542</v>
      </c>
      <c r="C2349" s="6"/>
    </row>
    <row r="2350" spans="1:3" x14ac:dyDescent="0.25">
      <c r="A2350" s="13">
        <v>61352403</v>
      </c>
      <c r="B2350" s="5" t="s">
        <v>1543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4" t="s">
        <v>1386</v>
      </c>
      <c r="B1" s="214"/>
      <c r="C1" s="214"/>
      <c r="D1" s="214"/>
      <c r="E1" s="214"/>
      <c r="F1" s="215" t="s">
        <v>1387</v>
      </c>
      <c r="G1" s="215"/>
      <c r="H1" s="215"/>
      <c r="I1" s="215" t="s">
        <v>1388</v>
      </c>
      <c r="J1" s="215"/>
      <c r="K1" s="214" t="s">
        <v>1389</v>
      </c>
      <c r="L1" s="214"/>
      <c r="M1" s="214"/>
    </row>
    <row r="2" spans="1:13" ht="15.75" thickBot="1" x14ac:dyDescent="0.3">
      <c r="A2" s="214"/>
      <c r="B2" s="214"/>
      <c r="C2" s="214"/>
      <c r="D2" s="214"/>
      <c r="E2" s="214"/>
      <c r="F2" s="215"/>
      <c r="G2" s="215"/>
      <c r="H2" s="215"/>
      <c r="I2" s="215"/>
      <c r="J2" s="215"/>
      <c r="K2" s="214"/>
      <c r="L2" s="214"/>
      <c r="M2" s="214"/>
    </row>
    <row r="3" spans="1:13" ht="15.75" thickBot="1" x14ac:dyDescent="0.3">
      <c r="A3" s="216" t="s">
        <v>1538</v>
      </c>
      <c r="B3" s="216"/>
      <c r="C3" s="216"/>
      <c r="D3" s="216"/>
      <c r="E3" s="216"/>
      <c r="F3" s="197">
        <v>8000</v>
      </c>
      <c r="G3" s="197"/>
      <c r="H3" s="197"/>
      <c r="I3" s="197">
        <v>10</v>
      </c>
      <c r="J3" s="197"/>
      <c r="K3" s="198" t="s">
        <v>1401</v>
      </c>
      <c r="L3" s="198"/>
      <c r="M3" s="198"/>
    </row>
    <row r="4" spans="1:13" ht="15.75" thickBot="1" x14ac:dyDescent="0.3">
      <c r="A4" s="216"/>
      <c r="B4" s="216"/>
      <c r="C4" s="216"/>
      <c r="D4" s="216"/>
      <c r="E4" s="216"/>
      <c r="F4" s="197"/>
      <c r="G4" s="197"/>
      <c r="H4" s="197"/>
      <c r="I4" s="197"/>
      <c r="J4" s="197"/>
      <c r="K4" s="198"/>
      <c r="L4" s="198"/>
      <c r="M4" s="198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9" t="s">
        <v>1382</v>
      </c>
      <c r="B6" s="201" t="s">
        <v>1390</v>
      </c>
      <c r="C6" s="203" t="s">
        <v>1391</v>
      </c>
      <c r="D6" s="204"/>
      <c r="E6" s="205" t="s">
        <v>1392</v>
      </c>
      <c r="F6" s="205"/>
      <c r="G6" s="206"/>
      <c r="H6" s="207" t="s">
        <v>1393</v>
      </c>
      <c r="I6" s="207"/>
      <c r="J6" s="207"/>
      <c r="K6" s="208" t="s">
        <v>1394</v>
      </c>
      <c r="L6" s="209"/>
      <c r="M6" s="210"/>
    </row>
    <row r="7" spans="1:13" ht="15.75" thickBot="1" x14ac:dyDescent="0.3">
      <c r="A7" s="200"/>
      <c r="B7" s="202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11" t="s">
        <v>1400</v>
      </c>
      <c r="C16" s="212"/>
      <c r="D16" s="21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4" t="s">
        <v>1386</v>
      </c>
      <c r="B20" s="214"/>
      <c r="C20" s="214"/>
      <c r="D20" s="214"/>
      <c r="E20" s="214"/>
      <c r="F20" s="215" t="s">
        <v>1387</v>
      </c>
      <c r="G20" s="215"/>
      <c r="H20" s="215"/>
      <c r="I20" s="215" t="s">
        <v>1388</v>
      </c>
      <c r="J20" s="215"/>
      <c r="K20" s="214" t="s">
        <v>1389</v>
      </c>
      <c r="L20" s="214"/>
      <c r="M20" s="214"/>
    </row>
    <row r="21" spans="1:13" ht="15.75" thickBot="1" x14ac:dyDescent="0.3">
      <c r="A21" s="214"/>
      <c r="B21" s="214"/>
      <c r="C21" s="214"/>
      <c r="D21" s="214"/>
      <c r="E21" s="214"/>
      <c r="F21" s="215"/>
      <c r="G21" s="215"/>
      <c r="H21" s="215"/>
      <c r="I21" s="215"/>
      <c r="J21" s="215"/>
      <c r="K21" s="214"/>
      <c r="L21" s="214"/>
      <c r="M21" s="214"/>
    </row>
    <row r="22" spans="1:13" ht="15.75" thickBot="1" x14ac:dyDescent="0.3">
      <c r="A22" s="216" t="s">
        <v>1539</v>
      </c>
      <c r="B22" s="216"/>
      <c r="C22" s="216"/>
      <c r="D22" s="216"/>
      <c r="E22" s="216"/>
      <c r="F22" s="197">
        <v>3000</v>
      </c>
      <c r="G22" s="197"/>
      <c r="H22" s="197"/>
      <c r="I22" s="197">
        <v>40</v>
      </c>
      <c r="J22" s="197"/>
      <c r="K22" s="198" t="s">
        <v>1401</v>
      </c>
      <c r="L22" s="198"/>
      <c r="M22" s="198"/>
    </row>
    <row r="23" spans="1:13" ht="15.75" thickBot="1" x14ac:dyDescent="0.3">
      <c r="A23" s="216"/>
      <c r="B23" s="216"/>
      <c r="C23" s="216"/>
      <c r="D23" s="216"/>
      <c r="E23" s="216"/>
      <c r="F23" s="197"/>
      <c r="G23" s="197"/>
      <c r="H23" s="197"/>
      <c r="I23" s="197"/>
      <c r="J23" s="197"/>
      <c r="K23" s="198"/>
      <c r="L23" s="198"/>
      <c r="M23" s="198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9" t="s">
        <v>1382</v>
      </c>
      <c r="B25" s="201" t="s">
        <v>1390</v>
      </c>
      <c r="C25" s="203" t="s">
        <v>1391</v>
      </c>
      <c r="D25" s="204"/>
      <c r="E25" s="205" t="s">
        <v>1392</v>
      </c>
      <c r="F25" s="205"/>
      <c r="G25" s="206"/>
      <c r="H25" s="207" t="s">
        <v>1393</v>
      </c>
      <c r="I25" s="207"/>
      <c r="J25" s="207"/>
      <c r="K25" s="208" t="s">
        <v>1394</v>
      </c>
      <c r="L25" s="209"/>
      <c r="M25" s="210"/>
    </row>
    <row r="26" spans="1:13" ht="15.75" thickBot="1" x14ac:dyDescent="0.3">
      <c r="A26" s="200"/>
      <c r="B26" s="202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7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11" t="s">
        <v>1400</v>
      </c>
      <c r="C33" s="212"/>
      <c r="D33" s="21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4" t="s">
        <v>1386</v>
      </c>
      <c r="B39" s="214"/>
      <c r="C39" s="214"/>
      <c r="D39" s="214"/>
      <c r="E39" s="214"/>
      <c r="F39" s="215" t="s">
        <v>1387</v>
      </c>
      <c r="G39" s="215"/>
      <c r="H39" s="215"/>
      <c r="I39" s="215" t="s">
        <v>1388</v>
      </c>
      <c r="J39" s="215"/>
      <c r="K39" s="214" t="s">
        <v>1389</v>
      </c>
      <c r="L39" s="214"/>
      <c r="M39" s="214"/>
    </row>
    <row r="40" spans="1:13" ht="15.75" thickBot="1" x14ac:dyDescent="0.3">
      <c r="A40" s="214"/>
      <c r="B40" s="214"/>
      <c r="C40" s="214"/>
      <c r="D40" s="214"/>
      <c r="E40" s="214"/>
      <c r="F40" s="215"/>
      <c r="G40" s="215"/>
      <c r="H40" s="215"/>
      <c r="I40" s="215"/>
      <c r="J40" s="215"/>
      <c r="K40" s="214"/>
      <c r="L40" s="214"/>
      <c r="M40" s="214"/>
    </row>
    <row r="41" spans="1:13" ht="15.75" thickBot="1" x14ac:dyDescent="0.3">
      <c r="A41" s="216" t="s">
        <v>1540</v>
      </c>
      <c r="B41" s="216"/>
      <c r="C41" s="216"/>
      <c r="D41" s="216"/>
      <c r="E41" s="216"/>
      <c r="F41" s="197">
        <v>3000</v>
      </c>
      <c r="G41" s="197"/>
      <c r="H41" s="197"/>
      <c r="I41" s="197">
        <v>40</v>
      </c>
      <c r="J41" s="197"/>
      <c r="K41" s="198" t="s">
        <v>1401</v>
      </c>
      <c r="L41" s="198"/>
      <c r="M41" s="198"/>
    </row>
    <row r="42" spans="1:13" ht="15.75" thickBot="1" x14ac:dyDescent="0.3">
      <c r="A42" s="216"/>
      <c r="B42" s="216"/>
      <c r="C42" s="216"/>
      <c r="D42" s="216"/>
      <c r="E42" s="216"/>
      <c r="F42" s="197"/>
      <c r="G42" s="197"/>
      <c r="H42" s="197"/>
      <c r="I42" s="197"/>
      <c r="J42" s="197"/>
      <c r="K42" s="198"/>
      <c r="L42" s="198"/>
      <c r="M42" s="198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9" t="s">
        <v>1382</v>
      </c>
      <c r="B44" s="201" t="s">
        <v>1390</v>
      </c>
      <c r="C44" s="203" t="s">
        <v>1391</v>
      </c>
      <c r="D44" s="204"/>
      <c r="E44" s="205" t="s">
        <v>1392</v>
      </c>
      <c r="F44" s="205"/>
      <c r="G44" s="206"/>
      <c r="H44" s="207" t="s">
        <v>1393</v>
      </c>
      <c r="I44" s="207"/>
      <c r="J44" s="207"/>
      <c r="K44" s="208" t="s">
        <v>1394</v>
      </c>
      <c r="L44" s="209"/>
      <c r="M44" s="210"/>
    </row>
    <row r="45" spans="1:13" ht="15.75" thickBot="1" x14ac:dyDescent="0.3">
      <c r="A45" s="200"/>
      <c r="B45" s="202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11" t="s">
        <v>1400</v>
      </c>
      <c r="C52" s="212"/>
      <c r="D52" s="21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3" t="s">
        <v>1537</v>
      </c>
      <c r="Q3" s="224"/>
      <c r="R3" s="225"/>
    </row>
    <row r="4" spans="1:18" ht="51.75" thickBot="1" x14ac:dyDescent="0.3">
      <c r="A4" s="122">
        <v>27485</v>
      </c>
      <c r="C4" s="229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6"/>
      <c r="Q4" s="227"/>
      <c r="R4" s="228"/>
    </row>
    <row r="5" spans="1:18" ht="39.75" customHeight="1" thickBot="1" x14ac:dyDescent="0.3">
      <c r="C5" s="230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1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7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8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8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8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8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8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8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8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9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7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8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8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8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8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8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8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8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8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8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8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8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9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7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8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9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7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8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8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8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8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9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0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1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1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1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1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1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1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1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1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1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1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2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0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1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2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7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8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8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9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2" t="s">
        <v>1412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4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ht="15.75" thickBot="1" x14ac:dyDescent="0.3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x14ac:dyDescent="0.25">
      <c r="A6" s="99">
        <v>800212212</v>
      </c>
      <c r="B6" s="95" t="str">
        <f>IFERROR(VLOOKUP(A6,TERCEROS[],3,FALSE),"")</f>
        <v>LOS PANTALONEROS LTDA</v>
      </c>
      <c r="C6" s="95">
        <v>6</v>
      </c>
      <c r="D6" s="95">
        <f>130*12100</f>
        <v>1573000</v>
      </c>
      <c r="E6" s="95">
        <f>+D6*16/100</f>
        <v>251680</v>
      </c>
      <c r="F6" s="95">
        <f>+D6*2.5/100</f>
        <v>39325</v>
      </c>
      <c r="G6" s="95">
        <f>+E6*15/100</f>
        <v>37752</v>
      </c>
      <c r="H6" s="162">
        <f>+D6*11.01/1000</f>
        <v>17318.73</v>
      </c>
      <c r="I6" s="162">
        <f>+D6+E6-F6-G6-H6</f>
        <v>1730284.27</v>
      </c>
      <c r="J6" s="159">
        <v>41683</v>
      </c>
      <c r="K6" s="159">
        <f>+J6+30</f>
        <v>41713</v>
      </c>
      <c r="L6" s="95"/>
      <c r="M6" s="95"/>
      <c r="N6" s="106">
        <f>+I6</f>
        <v>1730284.27</v>
      </c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G1" zoomScale="130" zoomScaleNormal="130" workbookViewId="0">
      <selection activeCell="Q12" sqref="Q12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2" t="s">
        <v>1422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x14ac:dyDescent="0.25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6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5" t="s">
        <v>1428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7" t="s">
        <v>1547</v>
      </c>
      <c r="E1" s="238"/>
      <c r="F1" s="238"/>
      <c r="G1" s="238"/>
      <c r="H1" s="238"/>
      <c r="I1" s="238"/>
      <c r="J1" s="238"/>
      <c r="K1" s="238"/>
      <c r="L1" s="239"/>
    </row>
    <row r="2" spans="1:12" x14ac:dyDescent="0.25">
      <c r="D2" s="240"/>
      <c r="E2" s="241"/>
      <c r="F2" s="241"/>
      <c r="G2" s="241"/>
      <c r="H2" s="241"/>
      <c r="I2" s="241"/>
      <c r="J2" s="241"/>
      <c r="K2" s="241"/>
      <c r="L2" s="242"/>
    </row>
    <row r="3" spans="1:12" x14ac:dyDescent="0.25">
      <c r="D3" s="240"/>
      <c r="E3" s="241"/>
      <c r="F3" s="241"/>
      <c r="G3" s="241"/>
      <c r="H3" s="241"/>
      <c r="I3" s="241"/>
      <c r="J3" s="241"/>
      <c r="K3" s="241"/>
      <c r="L3" s="242"/>
    </row>
    <row r="4" spans="1:12" ht="15.75" thickBot="1" x14ac:dyDescent="0.3">
      <c r="D4" s="243"/>
      <c r="E4" s="244"/>
      <c r="F4" s="244"/>
      <c r="G4" s="244"/>
      <c r="H4" s="244"/>
      <c r="I4" s="244"/>
      <c r="J4" s="244"/>
      <c r="K4" s="244"/>
      <c r="L4" s="245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2014-04-29T17:15:29Z</dcterms:modified>
</cp:coreProperties>
</file>