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4. AJUSTE INTERESES BANCARIOS\"/>
    </mc:Choice>
  </mc:AlternateContent>
  <bookViews>
    <workbookView xWindow="0" yWindow="0" windowWidth="20490" windowHeight="6165" tabRatio="763" activeTab="6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  <externalReference r:id="rId11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Diario'!$A$5:$M$295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P13" i="16" l="1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 l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N6" i="2" l="1"/>
  <c r="K6" i="2"/>
  <c r="H6" i="2"/>
  <c r="I6" i="2" s="1"/>
  <c r="G6" i="2"/>
  <c r="F6" i="2"/>
  <c r="E6" i="2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 s="1"/>
  <c r="G284" i="1"/>
  <c r="K291" i="1" l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<sst xmlns="http://schemas.openxmlformats.org/spreadsheetml/2006/main" count="4300" uniqueCount="1810">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</sst>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42.%20RETEFUENTE/42b.%20contabilizacion%20del%20pago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8" totalsRowShown="0" headerRowDxfId="10" dataDxfId="9">
  <autoFilter ref="A1:D38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zoomScale="115" zoomScaleNormal="115" workbookViewId="0">
      <pane ySplit="5" topLeftCell="A6" activePane="bottomLeft" state="frozen"/>
      <selection pane="bottomLeft" activeCell="G294" sqref="A294:G299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7">
        <f>SUM(K:K)-SUM(L:L)</f>
        <v>0.21450001001358032</v>
      </c>
      <c r="J1" s="188"/>
      <c r="K1" s="19"/>
      <c r="L1" s="19"/>
      <c r="M1" s="19"/>
    </row>
    <row r="2" spans="1:13" ht="15.75" thickBot="1" x14ac:dyDescent="0.3">
      <c r="D2" s="124" t="s">
        <v>1380</v>
      </c>
      <c r="I2" s="189" t="s">
        <v>1385</v>
      </c>
      <c r="J2" s="19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99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hidden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hidden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hidden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hidden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hidden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5">
        <v>41681</v>
      </c>
      <c r="D275" s="22" t="s">
        <v>1803</v>
      </c>
      <c r="E275" s="145">
        <f>+C275</f>
        <v>41681</v>
      </c>
      <c r="F275" s="27">
        <v>999999999</v>
      </c>
      <c r="G275" s="22" t="str">
        <f>IFERROR(VLOOKUP(F275,[1]!TERCEROS[#Data],3,FALSE),"")</f>
        <v/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5">
        <v>41681</v>
      </c>
      <c r="D276" s="22" t="s">
        <v>1803</v>
      </c>
      <c r="E276" s="145">
        <f t="shared" ref="E276:E283" si="37">+C276</f>
        <v>41681</v>
      </c>
      <c r="F276" s="27">
        <v>999999999</v>
      </c>
      <c r="G276" s="22" t="str">
        <f>IFERROR(VLOOKUP(F276,[1]!TERCEROS[#Data],3,FALSE),"")</f>
        <v/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5">
        <v>41681</v>
      </c>
      <c r="D277" s="22" t="s">
        <v>1803</v>
      </c>
      <c r="E277" s="145">
        <f t="shared" si="37"/>
        <v>41681</v>
      </c>
      <c r="F277" s="27">
        <v>999999999</v>
      </c>
      <c r="G277" s="22" t="str">
        <f>IFERROR(VLOOKUP(F277,[1]!TERCEROS[#Data],3,FALSE),"")</f>
        <v/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5">
        <v>41681</v>
      </c>
      <c r="D278" s="22" t="s">
        <v>1803</v>
      </c>
      <c r="E278" s="145">
        <f t="shared" si="37"/>
        <v>41681</v>
      </c>
      <c r="F278" s="27">
        <v>999999999</v>
      </c>
      <c r="G278" s="22" t="str">
        <f>IFERROR(VLOOKUP(F278,[1]!TERCEROS[#Data],3,FALSE),"")</f>
        <v/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5">
        <v>41681</v>
      </c>
      <c r="D279" s="22" t="s">
        <v>1803</v>
      </c>
      <c r="E279" s="145">
        <f t="shared" si="37"/>
        <v>41681</v>
      </c>
      <c r="F279" s="27">
        <v>999999999</v>
      </c>
      <c r="G279" s="22" t="str">
        <f>IFERROR(VLOOKUP(F279,[1]!TERCEROS[#Data],3,FALSE),"")</f>
        <v/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5">
        <v>41681</v>
      </c>
      <c r="D280" s="22" t="s">
        <v>1803</v>
      </c>
      <c r="E280" s="145">
        <f t="shared" si="37"/>
        <v>41681</v>
      </c>
      <c r="F280" s="27">
        <v>999999999</v>
      </c>
      <c r="G280" s="22" t="str">
        <f>IFERROR(VLOOKUP(F280,[1]!TERCEROS[#Data],3,FALSE),"")</f>
        <v/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5">
        <v>41681</v>
      </c>
      <c r="D281" s="22" t="s">
        <v>1803</v>
      </c>
      <c r="E281" s="145">
        <f t="shared" si="37"/>
        <v>41681</v>
      </c>
      <c r="F281" s="27">
        <v>999999999</v>
      </c>
      <c r="G281" s="22" t="str">
        <f>IFERROR(VLOOKUP(F281,[1]!TERCEROS[#Data],3,FALSE),"")</f>
        <v/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5">
        <v>41681</v>
      </c>
      <c r="D282" s="22" t="s">
        <v>1803</v>
      </c>
      <c r="E282" s="145">
        <f t="shared" si="37"/>
        <v>41681</v>
      </c>
      <c r="F282" s="27">
        <v>999999999</v>
      </c>
      <c r="G282" s="22" t="str">
        <f>IFERROR(VLOOKUP(F282,[1]!TERCEROS[#Data],3,FALSE),"")</f>
        <v/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5">
        <v>41681</v>
      </c>
      <c r="D283" s="22" t="s">
        <v>1803</v>
      </c>
      <c r="E283" s="145">
        <f t="shared" si="37"/>
        <v>41681</v>
      </c>
      <c r="F283" s="27">
        <v>999999999</v>
      </c>
      <c r="G283" s="22" t="str">
        <f>IFERROR(VLOOKUP(F283,[1]!TERCEROS[#Data],3,FALSE),"")</f>
        <v/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hidden="1" outlineLevel="1" x14ac:dyDescent="0.25">
      <c r="A284" s="146" t="s">
        <v>1627</v>
      </c>
      <c r="B284" s="147" t="s">
        <v>1600</v>
      </c>
      <c r="C284" s="148">
        <v>41683</v>
      </c>
      <c r="D284" s="146"/>
      <c r="E284" s="146"/>
      <c r="F284" s="179">
        <v>800212212</v>
      </c>
      <c r="G284" s="146" t="str">
        <f>IFERROR(VLOOKUP(F284,TERCEROS[],3,FALSE),"")</f>
        <v>LOS PANTALONEROS LTDA</v>
      </c>
      <c r="H284" s="146" t="s">
        <v>1800</v>
      </c>
      <c r="I284" s="146">
        <v>41352402</v>
      </c>
      <c r="J284" s="146" t="str">
        <f t="shared" si="34"/>
        <v>VENTA DE BLUSAS</v>
      </c>
      <c r="K284" s="150"/>
      <c r="L284" s="150">
        <f>130*12100</f>
        <v>1573000</v>
      </c>
      <c r="M284" s="150"/>
    </row>
    <row r="285" spans="1:13" hidden="1" outlineLevel="1" x14ac:dyDescent="0.25">
      <c r="A285" s="146" t="s">
        <v>1627</v>
      </c>
      <c r="B285" s="147" t="s">
        <v>1600</v>
      </c>
      <c r="C285" s="148">
        <v>41683</v>
      </c>
      <c r="D285" s="146"/>
      <c r="E285" s="146"/>
      <c r="F285" s="179">
        <v>800212212</v>
      </c>
      <c r="G285" s="146" t="str">
        <f>IFERROR(VLOOKUP(F285,TERCEROS[],3,FALSE),"")</f>
        <v>LOS PANTALONEROS LTDA</v>
      </c>
      <c r="H285" s="146" t="s">
        <v>1800</v>
      </c>
      <c r="I285" s="146">
        <v>240801</v>
      </c>
      <c r="J285" s="146" t="str">
        <f t="shared" si="34"/>
        <v>IVA GENERADO</v>
      </c>
      <c r="K285" s="150"/>
      <c r="L285" s="150">
        <f>+L284*0.16</f>
        <v>251680</v>
      </c>
      <c r="M285" s="150"/>
    </row>
    <row r="286" spans="1:13" hidden="1" outlineLevel="1" x14ac:dyDescent="0.25">
      <c r="A286" s="146" t="s">
        <v>1627</v>
      </c>
      <c r="B286" s="147" t="s">
        <v>1600</v>
      </c>
      <c r="C286" s="148">
        <v>41683</v>
      </c>
      <c r="D286" s="146"/>
      <c r="E286" s="146"/>
      <c r="F286" s="179">
        <v>800212212</v>
      </c>
      <c r="G286" s="146" t="str">
        <f>IFERROR(VLOOKUP(F286,TERCEROS[],3,FALSE),"")</f>
        <v>LOS PANTALONEROS LTDA</v>
      </c>
      <c r="H286" s="146" t="s">
        <v>1800</v>
      </c>
      <c r="I286" s="146">
        <v>23657501</v>
      </c>
      <c r="J286" s="146" t="str">
        <f t="shared" si="34"/>
        <v>AUTORETENC POR CREE 0,4%</v>
      </c>
      <c r="K286" s="150"/>
      <c r="L286" s="150">
        <f>+L284*0.4/100</f>
        <v>6292</v>
      </c>
      <c r="M286" s="150"/>
    </row>
    <row r="287" spans="1:13" hidden="1" outlineLevel="1" x14ac:dyDescent="0.25">
      <c r="A287" s="146" t="s">
        <v>1627</v>
      </c>
      <c r="B287" s="147" t="s">
        <v>1600</v>
      </c>
      <c r="C287" s="148">
        <v>41683</v>
      </c>
      <c r="D287" s="146"/>
      <c r="E287" s="146"/>
      <c r="F287" s="179">
        <v>800212212</v>
      </c>
      <c r="G287" s="146" t="str">
        <f>IFERROR(VLOOKUP(F287,TERCEROS[],3,FALSE),"")</f>
        <v>LOS PANTALONEROS LTDA</v>
      </c>
      <c r="H287" s="146" t="s">
        <v>1800</v>
      </c>
      <c r="I287" s="146">
        <v>13559501</v>
      </c>
      <c r="J287" s="146" t="str">
        <f t="shared" si="34"/>
        <v>ANT AUTORETENC POR CREE 0,4%</v>
      </c>
      <c r="K287" s="150">
        <f>+L286</f>
        <v>6292</v>
      </c>
      <c r="L287" s="150"/>
      <c r="M287" s="150"/>
    </row>
    <row r="288" spans="1:13" hidden="1" outlineLevel="1" x14ac:dyDescent="0.25">
      <c r="A288" s="146" t="s">
        <v>1627</v>
      </c>
      <c r="B288" s="147" t="s">
        <v>1600</v>
      </c>
      <c r="C288" s="148">
        <v>41683</v>
      </c>
      <c r="D288" s="146"/>
      <c r="E288" s="146"/>
      <c r="F288" s="179">
        <v>800212212</v>
      </c>
      <c r="G288" s="146" t="str">
        <f>IFERROR(VLOOKUP(F288,TERCEROS[],3,FALSE),"")</f>
        <v>LOS PANTALONEROS LTDA</v>
      </c>
      <c r="H288" s="146" t="s">
        <v>1800</v>
      </c>
      <c r="I288" s="146">
        <v>135515</v>
      </c>
      <c r="J288" s="146" t="str">
        <f t="shared" si="34"/>
        <v xml:space="preserve">RETENCION EN LA FUENTE </v>
      </c>
      <c r="K288" s="150">
        <f>+L284*2.5/100</f>
        <v>39325</v>
      </c>
      <c r="L288" s="150"/>
      <c r="M288" s="150"/>
    </row>
    <row r="289" spans="1:13" hidden="1" outlineLevel="1" x14ac:dyDescent="0.25">
      <c r="A289" s="146" t="s">
        <v>1627</v>
      </c>
      <c r="B289" s="147" t="s">
        <v>1600</v>
      </c>
      <c r="C289" s="148">
        <v>41683</v>
      </c>
      <c r="D289" s="146"/>
      <c r="E289" s="146"/>
      <c r="F289" s="179">
        <v>800212212</v>
      </c>
      <c r="G289" s="146" t="str">
        <f>IFERROR(VLOOKUP(F289,TERCEROS[],3,FALSE),"")</f>
        <v>LOS PANTALONEROS LTDA</v>
      </c>
      <c r="H289" s="146" t="s">
        <v>1800</v>
      </c>
      <c r="I289" s="146">
        <v>135517</v>
      </c>
      <c r="J289" s="146" t="str">
        <f t="shared" si="34"/>
        <v>IMPUESTO A LAS VENTAS RETENIDO</v>
      </c>
      <c r="K289" s="150">
        <f>+L285*0.15</f>
        <v>37752</v>
      </c>
      <c r="L289" s="150"/>
      <c r="M289" s="150"/>
    </row>
    <row r="290" spans="1:13" hidden="1" outlineLevel="1" x14ac:dyDescent="0.25">
      <c r="A290" s="146" t="s">
        <v>1627</v>
      </c>
      <c r="B290" s="147" t="s">
        <v>1600</v>
      </c>
      <c r="C290" s="148">
        <v>41683</v>
      </c>
      <c r="D290" s="146"/>
      <c r="E290" s="146"/>
      <c r="F290" s="179">
        <v>800212212</v>
      </c>
      <c r="G290" s="146" t="str">
        <f>IFERROR(VLOOKUP(F290,TERCEROS[],3,FALSE),"")</f>
        <v>LOS PANTALONEROS LTDA</v>
      </c>
      <c r="H290" s="146" t="s">
        <v>1800</v>
      </c>
      <c r="I290" s="146">
        <v>135518</v>
      </c>
      <c r="J290" s="146" t="str">
        <f t="shared" si="34"/>
        <v>IMPUESTO DE INDUSTRIA Y COMERCIO RETENIDO</v>
      </c>
      <c r="K290" s="150">
        <f>+L284*11.04/1000</f>
        <v>17365.919999999998</v>
      </c>
      <c r="L290" s="150"/>
      <c r="M290" s="150"/>
    </row>
    <row r="291" spans="1:13" hidden="1" outlineLevel="1" x14ac:dyDescent="0.25">
      <c r="A291" s="146" t="s">
        <v>1627</v>
      </c>
      <c r="B291" s="147" t="s">
        <v>1600</v>
      </c>
      <c r="C291" s="148">
        <v>41683</v>
      </c>
      <c r="D291" s="146"/>
      <c r="E291" s="146"/>
      <c r="F291" s="179">
        <v>800212212</v>
      </c>
      <c r="G291" s="146" t="str">
        <f>IFERROR(VLOOKUP(F291,TERCEROS[],3,FALSE),"")</f>
        <v>LOS PANTALONEROS LTDA</v>
      </c>
      <c r="H291" s="146" t="s">
        <v>1800</v>
      </c>
      <c r="I291" s="146">
        <v>130505</v>
      </c>
      <c r="J291" s="146" t="str">
        <f t="shared" si="34"/>
        <v xml:space="preserve">NACIONALES </v>
      </c>
      <c r="K291" s="150">
        <f>+L284+L285+L286-K287-K288-K289-K290</f>
        <v>1730237.08</v>
      </c>
      <c r="L291" s="150"/>
      <c r="M291" s="150"/>
    </row>
    <row r="292" spans="1:13" hidden="1" outlineLevel="1" x14ac:dyDescent="0.25">
      <c r="A292" s="146" t="s">
        <v>1627</v>
      </c>
      <c r="B292" s="147" t="s">
        <v>1600</v>
      </c>
      <c r="C292" s="148">
        <v>41683</v>
      </c>
      <c r="D292" s="146"/>
      <c r="E292" s="146"/>
      <c r="F292" s="179">
        <v>800212212</v>
      </c>
      <c r="G292" s="146" t="str">
        <f>IFERROR(VLOOKUP(F292,TERCEROS[],3,FALSE),"")</f>
        <v>LOS PANTALONEROS LTDA</v>
      </c>
      <c r="H292" s="146" t="s">
        <v>1800</v>
      </c>
      <c r="I292" s="146">
        <v>14352402</v>
      </c>
      <c r="J292" s="146" t="str">
        <f t="shared" si="34"/>
        <v>DE BLUSAS</v>
      </c>
      <c r="K292" s="150"/>
      <c r="L292" s="150">
        <v>728000</v>
      </c>
      <c r="M292" s="150"/>
    </row>
    <row r="293" spans="1:13" hidden="1" outlineLevel="1" x14ac:dyDescent="0.25">
      <c r="A293" s="146" t="s">
        <v>1627</v>
      </c>
      <c r="B293" s="147" t="s">
        <v>1600</v>
      </c>
      <c r="C293" s="148">
        <v>41683</v>
      </c>
      <c r="D293" s="146"/>
      <c r="E293" s="146"/>
      <c r="F293" s="179">
        <v>800212212</v>
      </c>
      <c r="G293" s="146" t="str">
        <f>IFERROR(VLOOKUP(F293,TERCEROS[],3,FALSE),"")</f>
        <v>LOS PANTALONEROS LTDA</v>
      </c>
      <c r="H293" s="146" t="s">
        <v>1800</v>
      </c>
      <c r="I293" s="146">
        <v>61352402</v>
      </c>
      <c r="J293" s="146" t="str">
        <f t="shared" si="34"/>
        <v>VENTA DE BLUSAS</v>
      </c>
      <c r="K293" s="150">
        <f>+L292</f>
        <v>728000</v>
      </c>
      <c r="L293" s="150"/>
      <c r="M293" s="150"/>
    </row>
    <row r="294" spans="1:13" collapsed="1" x14ac:dyDescent="0.25">
      <c r="A294" s="22" t="s">
        <v>1573</v>
      </c>
      <c r="B294" s="29" t="s">
        <v>1805</v>
      </c>
      <c r="C294" s="145">
        <v>41693</v>
      </c>
      <c r="D294" s="22" t="s">
        <v>1690</v>
      </c>
      <c r="E294" s="145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x14ac:dyDescent="0.25">
      <c r="A295" s="22" t="s">
        <v>1573</v>
      </c>
      <c r="B295" s="29" t="s">
        <v>1805</v>
      </c>
      <c r="C295" s="145">
        <v>41693</v>
      </c>
      <c r="D295" s="22" t="s">
        <v>1690</v>
      </c>
      <c r="E295" s="145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x14ac:dyDescent="0.25">
      <c r="A296" s="22" t="s">
        <v>1573</v>
      </c>
      <c r="B296" s="29" t="s">
        <v>1805</v>
      </c>
      <c r="C296" s="145">
        <v>41693</v>
      </c>
      <c r="D296" s="22" t="s">
        <v>1690</v>
      </c>
      <c r="E296" s="145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x14ac:dyDescent="0.25">
      <c r="A297" s="22" t="s">
        <v>1573</v>
      </c>
      <c r="B297" s="29" t="s">
        <v>1805</v>
      </c>
      <c r="C297" s="145">
        <v>41693</v>
      </c>
      <c r="D297" s="22" t="s">
        <v>1690</v>
      </c>
      <c r="E297" s="145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x14ac:dyDescent="0.25">
      <c r="A298" s="22" t="s">
        <v>1573</v>
      </c>
      <c r="B298" s="29" t="s">
        <v>1805</v>
      </c>
      <c r="C298" s="145">
        <v>41693</v>
      </c>
      <c r="D298" s="22" t="s">
        <v>1690</v>
      </c>
      <c r="E298" s="145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x14ac:dyDescent="0.25">
      <c r="A299" s="22" t="s">
        <v>1573</v>
      </c>
      <c r="B299" s="29" t="s">
        <v>1805</v>
      </c>
      <c r="C299" s="145">
        <v>41693</v>
      </c>
      <c r="D299" s="22" t="s">
        <v>1690</v>
      </c>
      <c r="E299" s="145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295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99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8"/>
  <sheetViews>
    <sheetView workbookViewId="0">
      <selection activeCell="A5" sqref="A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</sheetData>
  <dataValidations count="1">
    <dataValidation type="list" allowBlank="1" showInputMessage="1" showErrorMessage="1" sqref="D2:D38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210" workbookViewId="0">
      <selection activeCell="A223" sqref="A22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1" t="s">
        <v>10</v>
      </c>
      <c r="B1" s="192"/>
      <c r="C1" s="193"/>
    </row>
    <row r="2" spans="1:3" x14ac:dyDescent="0.25">
      <c r="A2" s="194"/>
      <c r="B2" s="195"/>
      <c r="C2" s="19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4" t="s">
        <v>1386</v>
      </c>
      <c r="B1" s="214"/>
      <c r="C1" s="214"/>
      <c r="D1" s="214"/>
      <c r="E1" s="214"/>
      <c r="F1" s="215" t="s">
        <v>1387</v>
      </c>
      <c r="G1" s="215"/>
      <c r="H1" s="215"/>
      <c r="I1" s="215" t="s">
        <v>1388</v>
      </c>
      <c r="J1" s="215"/>
      <c r="K1" s="214" t="s">
        <v>1389</v>
      </c>
      <c r="L1" s="214"/>
      <c r="M1" s="214"/>
    </row>
    <row r="2" spans="1:13" ht="15.75" thickBot="1" x14ac:dyDescent="0.3">
      <c r="A2" s="214"/>
      <c r="B2" s="214"/>
      <c r="C2" s="214"/>
      <c r="D2" s="214"/>
      <c r="E2" s="214"/>
      <c r="F2" s="215"/>
      <c r="G2" s="215"/>
      <c r="H2" s="215"/>
      <c r="I2" s="215"/>
      <c r="J2" s="215"/>
      <c r="K2" s="214"/>
      <c r="L2" s="214"/>
      <c r="M2" s="214"/>
    </row>
    <row r="3" spans="1:13" ht="15.75" thickBot="1" x14ac:dyDescent="0.3">
      <c r="A3" s="216" t="s">
        <v>1538</v>
      </c>
      <c r="B3" s="216"/>
      <c r="C3" s="216"/>
      <c r="D3" s="216"/>
      <c r="E3" s="216"/>
      <c r="F3" s="197">
        <v>8000</v>
      </c>
      <c r="G3" s="197"/>
      <c r="H3" s="197"/>
      <c r="I3" s="197">
        <v>10</v>
      </c>
      <c r="J3" s="197"/>
      <c r="K3" s="198" t="s">
        <v>1401</v>
      </c>
      <c r="L3" s="198"/>
      <c r="M3" s="198"/>
    </row>
    <row r="4" spans="1:13" ht="15.75" thickBot="1" x14ac:dyDescent="0.3">
      <c r="A4" s="216"/>
      <c r="B4" s="216"/>
      <c r="C4" s="216"/>
      <c r="D4" s="216"/>
      <c r="E4" s="216"/>
      <c r="F4" s="197"/>
      <c r="G4" s="197"/>
      <c r="H4" s="197"/>
      <c r="I4" s="197"/>
      <c r="J4" s="197"/>
      <c r="K4" s="198"/>
      <c r="L4" s="198"/>
      <c r="M4" s="198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9" t="s">
        <v>1382</v>
      </c>
      <c r="B6" s="201" t="s">
        <v>1390</v>
      </c>
      <c r="C6" s="203" t="s">
        <v>1391</v>
      </c>
      <c r="D6" s="204"/>
      <c r="E6" s="205" t="s">
        <v>1392</v>
      </c>
      <c r="F6" s="205"/>
      <c r="G6" s="206"/>
      <c r="H6" s="207" t="s">
        <v>1393</v>
      </c>
      <c r="I6" s="207"/>
      <c r="J6" s="207"/>
      <c r="K6" s="208" t="s">
        <v>1394</v>
      </c>
      <c r="L6" s="209"/>
      <c r="M6" s="210"/>
    </row>
    <row r="7" spans="1:13" ht="15.75" thickBot="1" x14ac:dyDescent="0.3">
      <c r="A7" s="200"/>
      <c r="B7" s="202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11" t="s">
        <v>1400</v>
      </c>
      <c r="C16" s="212"/>
      <c r="D16" s="21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4" t="s">
        <v>1386</v>
      </c>
      <c r="B20" s="214"/>
      <c r="C20" s="214"/>
      <c r="D20" s="214"/>
      <c r="E20" s="214"/>
      <c r="F20" s="215" t="s">
        <v>1387</v>
      </c>
      <c r="G20" s="215"/>
      <c r="H20" s="215"/>
      <c r="I20" s="215" t="s">
        <v>1388</v>
      </c>
      <c r="J20" s="215"/>
      <c r="K20" s="214" t="s">
        <v>1389</v>
      </c>
      <c r="L20" s="214"/>
      <c r="M20" s="214"/>
    </row>
    <row r="21" spans="1:13" ht="15.75" thickBot="1" x14ac:dyDescent="0.3">
      <c r="A21" s="214"/>
      <c r="B21" s="214"/>
      <c r="C21" s="214"/>
      <c r="D21" s="214"/>
      <c r="E21" s="214"/>
      <c r="F21" s="215"/>
      <c r="G21" s="215"/>
      <c r="H21" s="215"/>
      <c r="I21" s="215"/>
      <c r="J21" s="215"/>
      <c r="K21" s="214"/>
      <c r="L21" s="214"/>
      <c r="M21" s="214"/>
    </row>
    <row r="22" spans="1:13" ht="15.75" thickBot="1" x14ac:dyDescent="0.3">
      <c r="A22" s="216" t="s">
        <v>1539</v>
      </c>
      <c r="B22" s="216"/>
      <c r="C22" s="216"/>
      <c r="D22" s="216"/>
      <c r="E22" s="216"/>
      <c r="F22" s="197">
        <v>3000</v>
      </c>
      <c r="G22" s="197"/>
      <c r="H22" s="197"/>
      <c r="I22" s="197">
        <v>40</v>
      </c>
      <c r="J22" s="197"/>
      <c r="K22" s="198" t="s">
        <v>1401</v>
      </c>
      <c r="L22" s="198"/>
      <c r="M22" s="198"/>
    </row>
    <row r="23" spans="1:13" ht="15.75" thickBot="1" x14ac:dyDescent="0.3">
      <c r="A23" s="216"/>
      <c r="B23" s="216"/>
      <c r="C23" s="216"/>
      <c r="D23" s="216"/>
      <c r="E23" s="216"/>
      <c r="F23" s="197"/>
      <c r="G23" s="197"/>
      <c r="H23" s="197"/>
      <c r="I23" s="197"/>
      <c r="J23" s="197"/>
      <c r="K23" s="198"/>
      <c r="L23" s="198"/>
      <c r="M23" s="198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9" t="s">
        <v>1382</v>
      </c>
      <c r="B25" s="201" t="s">
        <v>1390</v>
      </c>
      <c r="C25" s="203" t="s">
        <v>1391</v>
      </c>
      <c r="D25" s="204"/>
      <c r="E25" s="205" t="s">
        <v>1392</v>
      </c>
      <c r="F25" s="205"/>
      <c r="G25" s="206"/>
      <c r="H25" s="207" t="s">
        <v>1393</v>
      </c>
      <c r="I25" s="207"/>
      <c r="J25" s="207"/>
      <c r="K25" s="208" t="s">
        <v>1394</v>
      </c>
      <c r="L25" s="209"/>
      <c r="M25" s="210"/>
    </row>
    <row r="26" spans="1:13" ht="15.75" thickBot="1" x14ac:dyDescent="0.3">
      <c r="A26" s="200"/>
      <c r="B26" s="202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7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1" t="s">
        <v>1400</v>
      </c>
      <c r="C33" s="212"/>
      <c r="D33" s="21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4" t="s">
        <v>1386</v>
      </c>
      <c r="B39" s="214"/>
      <c r="C39" s="214"/>
      <c r="D39" s="214"/>
      <c r="E39" s="214"/>
      <c r="F39" s="215" t="s">
        <v>1387</v>
      </c>
      <c r="G39" s="215"/>
      <c r="H39" s="215"/>
      <c r="I39" s="215" t="s">
        <v>1388</v>
      </c>
      <c r="J39" s="215"/>
      <c r="K39" s="214" t="s">
        <v>1389</v>
      </c>
      <c r="L39" s="214"/>
      <c r="M39" s="214"/>
    </row>
    <row r="40" spans="1:13" ht="15.75" thickBot="1" x14ac:dyDescent="0.3">
      <c r="A40" s="214"/>
      <c r="B40" s="214"/>
      <c r="C40" s="214"/>
      <c r="D40" s="214"/>
      <c r="E40" s="214"/>
      <c r="F40" s="215"/>
      <c r="G40" s="215"/>
      <c r="H40" s="215"/>
      <c r="I40" s="215"/>
      <c r="J40" s="215"/>
      <c r="K40" s="214"/>
      <c r="L40" s="214"/>
      <c r="M40" s="214"/>
    </row>
    <row r="41" spans="1:13" ht="15.75" thickBot="1" x14ac:dyDescent="0.3">
      <c r="A41" s="216" t="s">
        <v>1540</v>
      </c>
      <c r="B41" s="216"/>
      <c r="C41" s="216"/>
      <c r="D41" s="216"/>
      <c r="E41" s="216"/>
      <c r="F41" s="197">
        <v>3000</v>
      </c>
      <c r="G41" s="197"/>
      <c r="H41" s="197"/>
      <c r="I41" s="197">
        <v>40</v>
      </c>
      <c r="J41" s="197"/>
      <c r="K41" s="198" t="s">
        <v>1401</v>
      </c>
      <c r="L41" s="198"/>
      <c r="M41" s="198"/>
    </row>
    <row r="42" spans="1:13" ht="15.75" thickBot="1" x14ac:dyDescent="0.3">
      <c r="A42" s="216"/>
      <c r="B42" s="216"/>
      <c r="C42" s="216"/>
      <c r="D42" s="216"/>
      <c r="E42" s="216"/>
      <c r="F42" s="197"/>
      <c r="G42" s="197"/>
      <c r="H42" s="197"/>
      <c r="I42" s="197"/>
      <c r="J42" s="197"/>
      <c r="K42" s="198"/>
      <c r="L42" s="198"/>
      <c r="M42" s="198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9" t="s">
        <v>1382</v>
      </c>
      <c r="B44" s="201" t="s">
        <v>1390</v>
      </c>
      <c r="C44" s="203" t="s">
        <v>1391</v>
      </c>
      <c r="D44" s="204"/>
      <c r="E44" s="205" t="s">
        <v>1392</v>
      </c>
      <c r="F44" s="205"/>
      <c r="G44" s="206"/>
      <c r="H44" s="207" t="s">
        <v>1393</v>
      </c>
      <c r="I44" s="207"/>
      <c r="J44" s="207"/>
      <c r="K44" s="208" t="s">
        <v>1394</v>
      </c>
      <c r="L44" s="209"/>
      <c r="M44" s="210"/>
    </row>
    <row r="45" spans="1:13" ht="15.75" thickBot="1" x14ac:dyDescent="0.3">
      <c r="A45" s="200"/>
      <c r="B45" s="202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11" t="s">
        <v>1400</v>
      </c>
      <c r="C52" s="212"/>
      <c r="D52" s="21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3" t="s">
        <v>1537</v>
      </c>
      <c r="Q3" s="224"/>
      <c r="R3" s="225"/>
    </row>
    <row r="4" spans="1:18" ht="51.75" thickBot="1" x14ac:dyDescent="0.3">
      <c r="A4" s="122">
        <v>27485</v>
      </c>
      <c r="C4" s="229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6"/>
      <c r="Q4" s="227"/>
      <c r="R4" s="228"/>
    </row>
    <row r="5" spans="1:18" ht="39.75" customHeight="1" thickBot="1" x14ac:dyDescent="0.3">
      <c r="C5" s="230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1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7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8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8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8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8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8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8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8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9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7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8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8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8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8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8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8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8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8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8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8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8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9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7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8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9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7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8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8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8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8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9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0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1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1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1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1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1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1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1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1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1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1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2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0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1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2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7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8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8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9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2" t="s">
        <v>1412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>
        <v>800212212</v>
      </c>
      <c r="B6" s="95" t="str">
        <f>IFERROR(VLOOKUP(A6,TERCEROS[],3,FALSE),"")</f>
        <v>LOS PANTALONEROS LTDA</v>
      </c>
      <c r="C6" s="95">
        <v>6</v>
      </c>
      <c r="D6" s="95">
        <f>130*12100</f>
        <v>1573000</v>
      </c>
      <c r="E6" s="95">
        <f>+D6*16/100</f>
        <v>251680</v>
      </c>
      <c r="F6" s="95">
        <f>+D6*2.5/100</f>
        <v>39325</v>
      </c>
      <c r="G6" s="95">
        <f>+E6*15/100</f>
        <v>37752</v>
      </c>
      <c r="H6" s="162">
        <f>+D6*11.01/1000</f>
        <v>17318.73</v>
      </c>
      <c r="I6" s="162">
        <f>+D6+E6-F6-G6-H6</f>
        <v>1730284.27</v>
      </c>
      <c r="J6" s="159">
        <v>41683</v>
      </c>
      <c r="K6" s="159">
        <f>+J6+30</f>
        <v>41713</v>
      </c>
      <c r="L6" s="95"/>
      <c r="M6" s="95"/>
      <c r="N6" s="106">
        <f>+I6</f>
        <v>1730284.27</v>
      </c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abSelected="1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2" t="s">
        <v>1422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3" t="s">
        <v>1692</v>
      </c>
      <c r="C13" s="113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9">
        <v>41662</v>
      </c>
      <c r="M13" s="157">
        <v>41721</v>
      </c>
      <c r="N13" s="159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3" t="s">
        <v>1692</v>
      </c>
      <c r="C14" s="113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9"/>
      <c r="M14" s="157">
        <v>41693</v>
      </c>
      <c r="N14" s="159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5" t="s">
        <v>1428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7" t="s">
        <v>1547</v>
      </c>
      <c r="E1" s="238"/>
      <c r="F1" s="238"/>
      <c r="G1" s="238"/>
      <c r="H1" s="238"/>
      <c r="I1" s="238"/>
      <c r="J1" s="238"/>
      <c r="K1" s="238"/>
      <c r="L1" s="239"/>
    </row>
    <row r="2" spans="1:12" x14ac:dyDescent="0.25">
      <c r="D2" s="240"/>
      <c r="E2" s="241"/>
      <c r="F2" s="241"/>
      <c r="G2" s="241"/>
      <c r="H2" s="241"/>
      <c r="I2" s="241"/>
      <c r="J2" s="241"/>
      <c r="K2" s="241"/>
      <c r="L2" s="242"/>
    </row>
    <row r="3" spans="1:12" x14ac:dyDescent="0.25">
      <c r="D3" s="240"/>
      <c r="E3" s="241"/>
      <c r="F3" s="241"/>
      <c r="G3" s="241"/>
      <c r="H3" s="241"/>
      <c r="I3" s="241"/>
      <c r="J3" s="241"/>
      <c r="K3" s="241"/>
      <c r="L3" s="242"/>
    </row>
    <row r="4" spans="1:12" ht="15.75" thickBot="1" x14ac:dyDescent="0.3">
      <c r="D4" s="243"/>
      <c r="E4" s="244"/>
      <c r="F4" s="244"/>
      <c r="G4" s="244"/>
      <c r="H4" s="244"/>
      <c r="I4" s="244"/>
      <c r="J4" s="244"/>
      <c r="K4" s="244"/>
      <c r="L4" s="24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2014-04-24T22:39:13Z</dcterms:modified>
</cp:coreProperties>
</file>